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29040" windowHeight="15720"/>
  </bookViews>
  <sheets>
    <sheet sheetId="1" name="매매사업자 단타용 수익률 계산기" state="visible" r:id="rId4"/>
    <sheet sheetId="2" name="지출관리대장" state="visible" r:id="rId5"/>
  </sheets>
  <definedNames>
    <definedName name="_xlnm.Print_Area" localSheetId="0">'매매사업자 단타용 수익률 계산기'!$A1:$F50</definedName>
    <definedName name="_xlnm.Print_Area" localSheetId="1">'지출관리대장'!$A1:$D43</definedName>
  </definedNames>
  <calcPr calcId="171027"/>
</workbook>
</file>

<file path=xl/sharedStrings.xml><?xml version="1.0" encoding="utf-8"?>
<sst xmlns="http://schemas.openxmlformats.org/spreadsheetml/2006/main" count="152" uniqueCount="130">
  <si>
    <t>수익률 계산기 (매매사업자 단타용)   ver 3.4  ·  2026-07-23</t>
  </si>
  <si>
    <t>※ 매매사업자 기준, 단기양도 기준</t>
  </si>
  <si>
    <t>계산식 (이해하신 분만 터치)</t>
  </si>
  <si>
    <r>
      <t>기본사항 (</t>
    </r>
    <r>
      <rPr>
        <b/>
        <charset val="129"/>
        <color rgb="FF00B050"/>
        <family val="3"/>
        <scheme val="minor"/>
        <sz val="14"/>
        <rFont val="맑은 고딕"/>
      </rPr>
      <t>초록색 칸</t>
    </r>
    <r>
      <rPr>
        <b/>
        <charset val="129"/>
        <color theme="1"/>
        <family val="3"/>
        <scheme val="minor"/>
        <sz val="14"/>
        <rFont val="맑은 고딕"/>
      </rPr>
      <t>만 입력)</t>
    </r>
  </si>
  <si>
    <t>※ 주거용 부동산 기준</t>
  </si>
  <si>
    <t xml:space="preserve">① 감정가×80% − 방공제
② 낙찰가×70%
(둘 중 낮은 값)</t>
  </si>
  <si>
    <t>항목</t>
  </si>
  <si>
    <t>비고</t>
  </si>
  <si>
    <t>타경(관리번호)</t>
  </si>
  <si>
    <t>2023타경 690</t>
  </si>
  <si>
    <t xml:space="preserve">취득세 적용
(85초과는 1.3%)</t>
  </si>
  <si>
    <t>감정가격</t>
  </si>
  <si>
    <t>최저가격</t>
  </si>
  <si>
    <t>감정가대비 :</t>
  </si>
  <si>
    <t>※ 대출금액 = MIN(감정가×80% − 방공제, 낙찰가×70%). 방공제는 52~58행에서 지역에 맞게 조정</t>
  </si>
  <si>
    <t>적용 취득세</t>
  </si>
  <si>
    <t>입찰가격</t>
  </si>
  <si>
    <t>※ 85㎡ 초과시에는 건물분에 대한 10% 부가세를 납부해야한다.</t>
  </si>
  <si>
    <t>보유기간</t>
  </si>
  <si>
    <t>입찰기일</t>
  </si>
  <si>
    <t>월 이자</t>
  </si>
  <si>
    <t>대출금액</t>
  </si>
  <si>
    <t>MIN(감정가×80%−방공제, 낙찰가×70%) 자동계산 / 대출실행 후 실제 대출금액으로 변경</t>
  </si>
  <si>
    <t>※ 방공제 = 경매 시 소액임차인이 먼저 받아가는 최우선변제금. 은행이 담보가치에서 미리 빼고 한도를 잡는다 (주택임대차보호법 시행령 2023.02.21~ 현행 기준)</t>
  </si>
  <si>
    <t>양도차익</t>
  </si>
  <si>
    <t>주거용 부동산 면적</t>
  </si>
  <si>
    <t>㎡ 기준 (숫자만 기입)</t>
  </si>
  <si>
    <t>양도세 과세표준</t>
  </si>
  <si>
    <t>적용금리</t>
  </si>
  <si>
    <t>대출실행 후 대출이자로 변경</t>
  </si>
  <si>
    <t>과세표쥰</t>
  </si>
  <si>
    <t>세율</t>
  </si>
  <si>
    <t>누진공제</t>
  </si>
  <si>
    <t>투자전략</t>
  </si>
  <si>
    <t>단타</t>
  </si>
  <si>
    <t>예상보유기간(이자)</t>
  </si>
  <si>
    <t>월 단위 (숫자만 기입)</t>
  </si>
  <si>
    <t>취득과정</t>
  </si>
  <si>
    <t>비용</t>
  </si>
  <si>
    <t>입찰보증금</t>
  </si>
  <si>
    <t>대출을 받은 후 납부할 잔금</t>
  </si>
  <si>
    <t>납부할 잔금</t>
  </si>
  <si>
    <t>취득세</t>
  </si>
  <si>
    <t>1.1% or 1.3% 자동계산</t>
  </si>
  <si>
    <t>※ 기본 1.1% 취득세율, 주거용 부동산 전용면적 84㎡ 초과시 취득세율 1.3%</t>
  </si>
  <si>
    <t>법무사비</t>
  </si>
  <si>
    <t>약 1%로 자동계산</t>
  </si>
  <si>
    <t>※ 법무사비용은 법무사마다 다릅니다.. 그래도 낙찰가의 1%정도로 계산하시면 넉넉합니다.</t>
  </si>
  <si>
    <t>명도비용</t>
  </si>
  <si>
    <t>강제집행비용</t>
  </si>
  <si>
    <t>인테리어비용</t>
  </si>
  <si>
    <t>자본적지출 (보일러 교체, 베란다 확장, 중문설치 등)</t>
  </si>
  <si>
    <t>종합소득세 소득</t>
  </si>
  <si>
    <t>그 외 지출(도배, 장판, 보일러 수리 등)</t>
  </si>
  <si>
    <t>관리비</t>
  </si>
  <si>
    <t>부가가치세</t>
  </si>
  <si>
    <t>※ 건물과 토지의 비율을 5:5로 가정함. 건물분에 대한 부가가치세 10% &gt; 전체 낙찰가의 5%로 적용</t>
  </si>
  <si>
    <t>기타비용</t>
  </si>
  <si>
    <t xml:space="preserve">지출관리대장에 </t>
  </si>
  <si>
    <t>실투자금</t>
  </si>
  <si>
    <t>※ 취득과정에서 실제로 투자한 금액</t>
  </si>
  <si>
    <t>전체투자금</t>
  </si>
  <si>
    <t>※ 취득과정까지의 전체 금액</t>
  </si>
  <si>
    <t>보유과정</t>
  </si>
  <si>
    <t>금액</t>
  </si>
  <si>
    <t>보유세</t>
  </si>
  <si>
    <t>부동산 계산기 이용 (6월1일 보유하면 납부)</t>
  </si>
  <si>
    <t xml:space="preserve">※ 대출금액 x 이자율 x 보유 월 / 12 </t>
  </si>
  <si>
    <t>이자</t>
  </si>
  <si>
    <t>보유기간 총 이자</t>
  </si>
  <si>
    <t>※ 보유과정까지 실제로 투자한 금액</t>
  </si>
  <si>
    <t>※ 보유과정까지의 전체금액</t>
  </si>
  <si>
    <t>수익화 과정 (매도)</t>
  </si>
  <si>
    <t>매각가격</t>
  </si>
  <si>
    <t>중계수수로</t>
  </si>
  <si>
    <t>(2억 이상 6억 미만 0.4%)</t>
  </si>
  <si>
    <t>※ 0.4%로 계산</t>
  </si>
  <si>
    <t>중도상환수수료</t>
  </si>
  <si>
    <t>0.8% (은행마다 0.8~1.5%)</t>
  </si>
  <si>
    <t>※ 0.8%로 계산</t>
  </si>
  <si>
    <t>수익률 계산</t>
  </si>
  <si>
    <t>사업소득금액</t>
  </si>
  <si>
    <t>※ 판 금액 - 산 금액 - 비용</t>
  </si>
  <si>
    <t>개인소득</t>
  </si>
  <si>
    <t>근로, 금융, 사업, 기타소득금액이 있다면 추가</t>
  </si>
  <si>
    <t>※ 판 금액 - 산 금액 - 자본적 지출</t>
  </si>
  <si>
    <t>자본적지출</t>
  </si>
  <si>
    <t>사업소득금액에서 공제</t>
  </si>
  <si>
    <t>※ 취득세 + 법무사비 + 인테리어비용(자본적지출) + 중계수수료</t>
  </si>
  <si>
    <t>수익적지출</t>
  </si>
  <si>
    <t xml:space="preserve">※ 그 외 발생한 모든 비용 </t>
  </si>
  <si>
    <t>비용처리 불가 금액</t>
  </si>
  <si>
    <t>공제, 비용처리 불가 금액</t>
  </si>
  <si>
    <t>※ 사업자에게 매도하는 경우는 부가세 환급 가능, 국세청에서 명도비용은 경비로 인정하지 않음</t>
  </si>
  <si>
    <t>종합소득세</t>
  </si>
  <si>
    <t>자동계산(종합소득·누진공제, 세액공제 미계산)</t>
  </si>
  <si>
    <t>※ 개인소득, 종합소득공제, 누진공제, 세액공제는 포함하지 않음.</t>
  </si>
  <si>
    <t>최종수익</t>
  </si>
  <si>
    <t>전체 실투자금</t>
  </si>
  <si>
    <t>수익률</t>
  </si>
  <si>
    <t>대출 조건 (방공제 / 방차감)</t>
  </si>
  <si>
    <t>값</t>
  </si>
  <si>
    <t>물건 지역 구분</t>
  </si>
  <si>
    <t>과밀억제권역·세종·용인·화성·김포</t>
  </si>
  <si>
    <t>서울 / 과밀억제권역·세종·용인·화성·김포 / 광역시·안산·광주·파주·이천·평택 / 그 밖의 지역</t>
  </si>
  <si>
    <t>※ 방공제 기준시점은 근저당 설정일인데, 경락잔금대출은 낙찰 후 은행이 근저당을 새로 설정하므로 항상 현행(2023.02.21~) 기준이 적용된다</t>
  </si>
  <si>
    <t>방공제 (최우선변제금)</t>
  </si>
  <si>
    <t>초록칸 직접 입력 → 서울 55,000,000 / 과밀억제권역 48,000,000 / 광역시등 28,000,000 / 그 밖 25,000,000</t>
  </si>
  <si>
    <t>※ 과밀억제권역 예외구역(인천 송도·계양 일부, 시흥 반월 등)은 상위 구간으로 잡아두는 편이 안전. 소액임차인이 없으면 방공제가 없을 수도 있으니 은행 확인</t>
  </si>
  <si>
    <t>① 감정가×80% − 방공제</t>
  </si>
  <si>
    <t>방공제는 이 항에만 반영됨</t>
  </si>
  <si>
    <t>② 낙찰가×70%</t>
  </si>
  <si>
    <t/>
  </si>
  <si>
    <t>대출 가능액 (= B9)</t>
  </si>
  <si>
    <t>①과 ② 중 낮은 값. 유찰이 진행된 물건은 대개 ②가 낮아 방공제가 작동하지 않고, 낙찰가가 감정가에 가까울수록 ①이 걸린다</t>
  </si>
  <si>
    <t>개정 이력</t>
  </si>
  <si>
    <t>버전</t>
  </si>
  <si>
    <t>변경 내용</t>
  </si>
  <si>
    <t>ver 3.4 (2026-07-23)</t>
  </si>
  <si>
    <t>① 대출 산식 변경: MIN(감정가×80% − 방공제, 낙찰가×70%)  ② 방공제(소액임차인 최우선변제금) 입력 신설 [52~58행]  ③ 중도상환수수료 1.5% → 0.8%</t>
  </si>
  <si>
    <t>ver 3.3</t>
  </si>
  <si>
    <t>대출 산식 MIN(감정가×60%, 낙찰가×80%) / 중도상환수수료 1.5% / 방공제 미반영</t>
  </si>
  <si>
    <t>참고</t>
  </si>
  <si>
    <t>방공제 = 서울 5,500만 / 과밀억제권역·세종·용인·화성·김포 4,800만 / 광역시·안산·광주·파주·이천·평택 2,800만 / 그 밖 2,500만 (주택임대차보호법 시행령 2023.02.21~ 현행)</t>
  </si>
  <si>
    <t>전체 지출관리 대장</t>
  </si>
  <si>
    <t>실제 사용하는 모든 금액을 정리</t>
  </si>
  <si>
    <t>no</t>
  </si>
  <si>
    <t>사용처</t>
  </si>
  <si>
    <t>사유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</si>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</sst>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₩&quot;* #,##0_-;-&quot;₩&quot;* #,##0_-;_-&quot;₩&quot;* &quot;-&quot;_-;_-@_-"/>
    <numFmt numFmtId="165" formatCode="0.0%"/>
    <numFmt numFmtId="166" formatCode="_-&quot;₩&quot;* #,##0_-;-&quot;₩&quot;* #,##0_-;_-&quot;₩&quot;* &quot;-&quot;??_-;_-@_-"/>
    <numFmt numFmtId="167" formatCode="0.00_);[Red](0.00)"/>
    <numFmt numFmtId="168" formatCode="_-&quot;₩&quot;* #,##0_-;-&quot;₩&quot;* #,##0_-;_-&quot;₩&quot;* &quot;-&quot;?_-;_-@_-"/>
  </numFmts>
  <fonts count="10" x14ac:knownFonts="1">
    <font>
      <color theme="1"/>
      <family val="2"/>
      <scheme val="minor"/>
      <sz val="11"/>
      <name val="Calibri"/>
    </font>
    <font>
      <b/>
      <charset val="129"/>
      <color theme="1"/>
      <family val="3"/>
      <scheme val="minor"/>
      <sz val="11"/>
      <name val="맑은 고딕"/>
    </font>
    <font>
      <charset val="129"/>
      <color theme="1"/>
      <family val="2"/>
      <scheme val="minor"/>
      <sz val="11"/>
      <name val="맑은 고딕"/>
    </font>
    <font>
      <charset val="129"/>
      <color theme="1"/>
      <family val="3"/>
      <scheme val="minor"/>
      <sz val="11"/>
      <name val="맑은 고딕"/>
    </font>
    <font>
      <b/>
      <charset val="129"/>
      <color theme="1"/>
      <family val="3"/>
      <scheme val="minor"/>
      <sz val="14"/>
      <name val="맑은 고딕"/>
    </font>
    <font>
      <charset val="129"/>
      <color theme="1"/>
      <family val="2"/>
      <scheme val="minor"/>
      <sz val="14"/>
      <name val="맑은 고딕"/>
    </font>
    <font>
      <b/>
      <charset val="129"/>
      <color theme="1"/>
      <family val="3"/>
      <scheme val="minor"/>
      <sz val="12"/>
      <name val="맑은 고딕"/>
    </font>
    <font>
      <charset val="129"/>
      <color rgb="FF212529"/>
      <family val="2"/>
      <sz val="11"/>
      <name val="맑은 고딕"/>
    </font>
    <font>
      <color rgb="FF212529"/>
      <family val="2"/>
      <sz val="11"/>
      <name val="Arial"/>
    </font>
    <font>
      <b/>
      <charset val="129"/>
      <color rgb="FFFF0000"/>
      <family val="3"/>
      <scheme val="minor"/>
      <sz val="11"/>
      <name val="맑은 고딕"/>
    </font>
  </fonts>
  <fills count="7">
    <fill>
      <patternFill patternType="none"/>
    </fill>
    <fill>
      <patternFill patternType="gray125"/>
    </fill>
    <fill>
      <patternFill patternType="solid">
        <fgColor theme="5" tint="0.79998168889431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65" fontId="2" fillId="0" borderId="10" xfId="0" applyNumberFormat="1" applyFont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0" fontId="2" fillId="4" borderId="14" xfId="0" applyNumberFormat="1" applyFont="1" applyFill="1" applyBorder="1" applyAlignment="1">
      <alignment horizontal="center" vertical="center"/>
    </xf>
    <xf numFmtId="10" fontId="2" fillId="4" borderId="15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4" fontId="1" fillId="3" borderId="11" xfId="0" applyNumberFormat="1" applyFont="1" applyFill="1" applyBorder="1" applyAlignment="1">
      <alignment horizontal="center" vertical="center"/>
    </xf>
    <xf numFmtId="166" fontId="2" fillId="0" borderId="10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9" fontId="1" fillId="3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vertical="center" wrapText="1"/>
    </xf>
    <xf numFmtId="9" fontId="7" fillId="5" borderId="11" xfId="0" applyNumberFormat="1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164" fontId="8" fillId="5" borderId="11" xfId="0" applyNumberFormat="1" applyFont="1" applyFill="1" applyBorder="1" applyAlignment="1">
      <alignment vertical="center" wrapText="1"/>
    </xf>
    <xf numFmtId="167" fontId="8" fillId="5" borderId="11" xfId="0" applyNumberFormat="1" applyFont="1" applyFill="1" applyBorder="1" applyAlignment="1">
      <alignment vertical="center" wrapText="1"/>
    </xf>
    <xf numFmtId="164" fontId="8" fillId="5" borderId="12" xfId="0" applyNumberFormat="1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8" fontId="2" fillId="0" borderId="1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64" fontId="2" fillId="0" borderId="11" xfId="0" applyNumberFormat="1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9" fontId="9" fillId="2" borderId="26" xfId="0" applyNumberFormat="1" applyFont="1" applyFill="1" applyBorder="1" applyAlignment="1">
      <alignment horizontal="center" vertical="center"/>
    </xf>
    <xf numFmtId="9" fontId="9" fillId="2" borderId="27" xfId="0" applyNumberFormat="1" applyFont="1" applyFill="1" applyBorder="1" applyAlignment="1">
      <alignment horizontal="center" vertical="center"/>
    </xf>
    <xf numFmtId="9" fontId="9" fillId="2" borderId="2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9" fillId="2" borderId="0" xfId="0" applyNumberFormat="1" applyFont="1" applyFill="1" applyAlignment="1">
      <alignment horizontal="left" vertical="center"/>
    </xf>
    <xf numFmtId="9" fontId="9" fillId="2" borderId="0" xfId="0" applyNumberFormat="1" applyFont="1" applyFill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workbookViewId="0" zoomScale="100" zoomScaleNormal="100" view="pageBreakPreview">
      <selection activeCell="I40" sqref="I40"/>
    </sheetView>
  </sheetViews>
  <sheetFormatPr defaultRowHeight="16.5" outlineLevelRow="0" outlineLevelCol="0" x14ac:dyDescent="0.3" customHeight="1"/>
  <cols>
    <col min="1" max="1" width="17.875" style="1" customWidth="1"/>
    <col min="2" max="2" width="16.5" style="2" customWidth="1"/>
    <col min="3" max="6" width="11.375" style="2" customWidth="1"/>
    <col min="7" max="7" width="11.375" style="3" customWidth="1"/>
    <col min="8" max="9" width="11.375" style="2" customWidth="1"/>
    <col min="16" max="16" width="18.75" customWidth="1"/>
    <col min="17" max="17" width="19.75" customWidth="1"/>
    <col min="18" max="18" width="9.125" customWidth="1"/>
    <col min="19" max="19" width="18.25" customWidth="1"/>
  </cols>
  <sheetData>
    <row r="1" ht="24" customHeight="1" spans="1:19" x14ac:dyDescent="0.25">
      <c r="A1" s="4" t="s">
        <v>0</v>
      </c>
      <c r="B1" s="5"/>
      <c r="C1" s="5"/>
      <c r="D1" s="5"/>
      <c r="E1" s="5"/>
      <c r="F1" s="6"/>
      <c r="G1" s="3" t="s">
        <v>1</v>
      </c>
      <c r="H1" s="7"/>
      <c r="I1" s="7"/>
      <c r="P1" s="8" t="s">
        <v>2</v>
      </c>
      <c r="Q1" s="9"/>
      <c r="R1" s="9"/>
      <c r="S1" s="10"/>
    </row>
    <row r="2" ht="25.5" customHeight="1" spans="1:19" s="11" customFormat="1" x14ac:dyDescent="0.25">
      <c r="A2" s="12" t="s">
        <v>3</v>
      </c>
      <c r="B2" s="13"/>
      <c r="C2" s="13"/>
      <c r="D2" s="13"/>
      <c r="E2" s="13"/>
      <c r="F2" s="14"/>
      <c r="G2" s="15" t="s">
        <v>4</v>
      </c>
      <c r="H2" s="7"/>
      <c r="I2" s="7"/>
      <c r="P2" s="16">
        <f>B5*80%-B55</f>
      </c>
      <c r="Q2" s="17" t="s">
        <v>5</v>
      </c>
      <c r="R2" s="18"/>
      <c r="S2" s="19"/>
    </row>
    <row r="3" ht="17.25" customHeight="1" spans="1:19" x14ac:dyDescent="0.25">
      <c r="A3" s="20" t="s">
        <v>6</v>
      </c>
      <c r="B3" s="21"/>
      <c r="C3" s="21" t="s">
        <v>7</v>
      </c>
      <c r="D3" s="21"/>
      <c r="E3" s="21"/>
      <c r="F3" s="22"/>
      <c r="G3" s="23"/>
      <c r="H3" s="24"/>
      <c r="I3" s="24"/>
      <c r="P3" s="16">
        <f>B7*70%</f>
      </c>
      <c r="Q3" s="18"/>
      <c r="R3" s="18"/>
      <c r="S3" s="19"/>
    </row>
    <row r="4" spans="1:19" x14ac:dyDescent="0.25">
      <c r="A4" s="25" t="s">
        <v>8</v>
      </c>
      <c r="B4" s="26" t="s">
        <v>9</v>
      </c>
      <c r="C4" s="18"/>
      <c r="D4" s="18"/>
      <c r="E4" s="18"/>
      <c r="F4" s="19"/>
      <c r="P4" s="27">
        <v>0.011</v>
      </c>
      <c r="Q4" s="17" t="s">
        <v>10</v>
      </c>
      <c r="R4" s="18"/>
      <c r="S4" s="19"/>
    </row>
    <row r="5" spans="1:19" x14ac:dyDescent="0.25">
      <c r="A5" s="25" t="s">
        <v>11</v>
      </c>
      <c r="B5" s="28">
        <v>522000000</v>
      </c>
      <c r="C5" s="18"/>
      <c r="D5" s="18"/>
      <c r="E5" s="18"/>
      <c r="F5" s="19"/>
      <c r="P5" s="27">
        <v>0.013</v>
      </c>
      <c r="Q5" s="18"/>
      <c r="R5" s="18"/>
      <c r="S5" s="19"/>
    </row>
    <row r="6" spans="1:19" x14ac:dyDescent="0.25">
      <c r="A6" s="25" t="s">
        <v>12</v>
      </c>
      <c r="B6" s="28">
        <v>365400000</v>
      </c>
      <c r="C6" s="29" t="s">
        <v>13</v>
      </c>
      <c r="D6" s="30">
        <f>B6/B5</f>
        <v>0.7</v>
      </c>
      <c r="E6" s="30"/>
      <c r="F6" s="31"/>
      <c r="G6" s="3" t="s">
        <v>14</v>
      </c>
      <c r="P6" s="32">
        <f>(IF(B7&lt;=600000000,0.01,IF(B7&lt;=900000000,(B7/100000000*2/3-3)/100,0.03)))*1.1+IF(B10&gt;85,0.002,0)</f>
      </c>
      <c r="Q6" s="18" t="s">
        <v>15</v>
      </c>
      <c r="R6" s="18"/>
      <c r="S6" s="19"/>
    </row>
    <row r="7" spans="1:19" x14ac:dyDescent="0.25">
      <c r="A7" s="25" t="s">
        <v>16</v>
      </c>
      <c r="B7" s="28">
        <v>400000000</v>
      </c>
      <c r="C7" s="29" t="s">
        <v>13</v>
      </c>
      <c r="D7" s="30">
        <f>B7/B5</f>
        <v>0.7662835249042146</v>
      </c>
      <c r="E7" s="30"/>
      <c r="F7" s="31"/>
      <c r="G7" s="3" t="s">
        <v>17</v>
      </c>
      <c r="P7" s="32">
        <f>B13</f>
        <v>4</v>
      </c>
      <c r="Q7" s="18" t="s">
        <v>18</v>
      </c>
      <c r="R7" s="18"/>
      <c r="S7" s="19"/>
    </row>
    <row r="8" spans="1:19" x14ac:dyDescent="0.25">
      <c r="A8" s="25" t="s">
        <v>19</v>
      </c>
      <c r="B8" s="33">
        <v>45190</v>
      </c>
      <c r="C8" s="18"/>
      <c r="D8" s="18"/>
      <c r="E8" s="18"/>
      <c r="F8" s="19"/>
      <c r="P8" s="34">
        <f>B9*B11/12</f>
        <v>1305000</v>
      </c>
      <c r="Q8" s="18" t="s">
        <v>20</v>
      </c>
      <c r="R8" s="18"/>
      <c r="S8" s="19"/>
    </row>
    <row r="9" spans="1:19" x14ac:dyDescent="0.25">
      <c r="A9" s="25" t="s">
        <v>21</v>
      </c>
      <c r="B9" s="35">
        <f>MAX(IF(P2&lt;P3,P2,P3),0)</f>
      </c>
      <c r="C9" s="18" t="s">
        <v>22</v>
      </c>
      <c r="D9" s="18"/>
      <c r="E9" s="18"/>
      <c r="F9" s="19"/>
      <c r="G9" s="3" t="s">
        <v>23</v>
      </c>
      <c r="P9" s="16">
        <f>B37-B44-B7</f>
        <v>26354000</v>
      </c>
      <c r="Q9" s="18" t="s">
        <v>24</v>
      </c>
      <c r="R9" s="18"/>
      <c r="S9" s="19"/>
    </row>
    <row r="10" ht="16.5" customHeight="1" spans="1:19" x14ac:dyDescent="0.25">
      <c r="A10" s="25" t="s">
        <v>25</v>
      </c>
      <c r="B10" s="26">
        <v>84</v>
      </c>
      <c r="C10" s="18" t="s">
        <v>26</v>
      </c>
      <c r="D10" s="18"/>
      <c r="E10" s="18"/>
      <c r="F10" s="19"/>
      <c r="P10" s="32"/>
      <c r="Q10" s="36" t="s">
        <v>27</v>
      </c>
      <c r="R10" s="36"/>
      <c r="S10" s="37"/>
    </row>
    <row r="11" ht="16.5" customHeight="1" spans="1:19" x14ac:dyDescent="0.25">
      <c r="A11" s="25" t="s">
        <v>28</v>
      </c>
      <c r="B11" s="38">
        <v>0.05</v>
      </c>
      <c r="C11" s="18" t="s">
        <v>29</v>
      </c>
      <c r="D11" s="18"/>
      <c r="E11" s="18"/>
      <c r="F11" s="19"/>
      <c r="P11" s="32"/>
      <c r="Q11" s="39" t="s">
        <v>30</v>
      </c>
      <c r="R11" s="40" t="s">
        <v>31</v>
      </c>
      <c r="S11" s="41" t="s">
        <v>32</v>
      </c>
    </row>
    <row r="12" ht="16.5" customHeight="1" spans="1:19" x14ac:dyDescent="0.25">
      <c r="A12" s="25" t="s">
        <v>33</v>
      </c>
      <c r="B12" s="26" t="s">
        <v>34</v>
      </c>
      <c r="C12" s="18"/>
      <c r="D12" s="18"/>
      <c r="E12" s="18"/>
      <c r="F12" s="19"/>
      <c r="P12" s="32">
        <v>1</v>
      </c>
      <c r="Q12" s="42">
        <v>1000000001</v>
      </c>
      <c r="R12" s="43">
        <v>0.45</v>
      </c>
      <c r="S12" s="44">
        <v>65940000</v>
      </c>
    </row>
    <row r="13" ht="16.5" customHeight="1" spans="1:19" x14ac:dyDescent="0.25">
      <c r="A13" s="45" t="s">
        <v>35</v>
      </c>
      <c r="B13" s="46">
        <v>4</v>
      </c>
      <c r="C13" s="47" t="s">
        <v>36</v>
      </c>
      <c r="D13" s="47"/>
      <c r="E13" s="47"/>
      <c r="F13" s="48"/>
      <c r="P13" s="32">
        <v>2</v>
      </c>
      <c r="Q13" s="42">
        <v>1000000000</v>
      </c>
      <c r="R13" s="43">
        <v>0.42</v>
      </c>
      <c r="S13" s="44">
        <v>35940000</v>
      </c>
    </row>
    <row r="14" ht="16.5" customHeight="1" spans="1:19" x14ac:dyDescent="0.25">
      <c r="A14" s="49" t="s">
        <v>37</v>
      </c>
      <c r="B14" s="50"/>
      <c r="C14" s="50"/>
      <c r="D14" s="50"/>
      <c r="E14" s="50"/>
      <c r="F14" s="51"/>
      <c r="P14" s="32">
        <v>3</v>
      </c>
      <c r="Q14" s="42">
        <v>500000000</v>
      </c>
      <c r="R14" s="43">
        <v>0.4</v>
      </c>
      <c r="S14" s="44">
        <v>25940000</v>
      </c>
    </row>
    <row r="15" ht="16.5" customHeight="1" spans="1:19" x14ac:dyDescent="0.25">
      <c r="A15" s="20" t="s">
        <v>6</v>
      </c>
      <c r="B15" s="21" t="s">
        <v>38</v>
      </c>
      <c r="C15" s="21" t="s">
        <v>7</v>
      </c>
      <c r="D15" s="21"/>
      <c r="E15" s="21"/>
      <c r="F15" s="22"/>
      <c r="H15" s="7"/>
      <c r="P15" s="32">
        <v>4</v>
      </c>
      <c r="Q15" s="42">
        <v>300000000</v>
      </c>
      <c r="R15" s="43">
        <v>0.38</v>
      </c>
      <c r="S15" s="44">
        <v>19940000</v>
      </c>
    </row>
    <row r="16" ht="25.5" customHeight="1" spans="1:19" s="11" customFormat="1" x14ac:dyDescent="0.25">
      <c r="A16" s="25" t="s">
        <v>39</v>
      </c>
      <c r="B16" s="35">
        <f>B6*10%</f>
        <v>36540000</v>
      </c>
      <c r="C16" s="18" t="s">
        <v>40</v>
      </c>
      <c r="D16" s="18"/>
      <c r="E16" s="18"/>
      <c r="F16" s="19"/>
      <c r="G16" s="23"/>
      <c r="I16" s="7"/>
      <c r="P16" s="32">
        <v>5</v>
      </c>
      <c r="Q16" s="42">
        <v>150000000</v>
      </c>
      <c r="R16" s="43">
        <v>0.35</v>
      </c>
      <c r="S16" s="44">
        <v>15440000</v>
      </c>
    </row>
    <row r="17" ht="16.5" customHeight="1" spans="1:19" x14ac:dyDescent="0.25">
      <c r="A17" s="25" t="s">
        <v>41</v>
      </c>
      <c r="B17" s="35">
        <f>B7-B9-B16</f>
        <v>50260000</v>
      </c>
      <c r="C17" s="18" t="s">
        <v>40</v>
      </c>
      <c r="D17" s="18"/>
      <c r="E17" s="18"/>
      <c r="F17" s="19"/>
      <c r="G17" s="23"/>
      <c r="H17" s="24"/>
      <c r="I17" s="24"/>
      <c r="P17" s="32">
        <v>6</v>
      </c>
      <c r="Q17" s="42">
        <v>88000000</v>
      </c>
      <c r="R17" s="43">
        <v>0.24</v>
      </c>
      <c r="S17" s="44">
        <v>5760000</v>
      </c>
    </row>
    <row r="18" ht="16.5" customHeight="1" spans="1:19" x14ac:dyDescent="0.25">
      <c r="A18" s="25" t="s">
        <v>42</v>
      </c>
      <c r="B18" s="35">
        <f>B7*P6</f>
        <v>4400000</v>
      </c>
      <c r="C18" s="18" t="s">
        <v>43</v>
      </c>
      <c r="D18" s="18"/>
      <c r="E18" s="18"/>
      <c r="F18" s="19"/>
      <c r="G18" s="3" t="s">
        <v>44</v>
      </c>
      <c r="H18" s="24"/>
      <c r="I18" s="24"/>
      <c r="P18" s="32">
        <v>7</v>
      </c>
      <c r="Q18" s="42">
        <v>50000000</v>
      </c>
      <c r="R18" s="43">
        <v>0.15</v>
      </c>
      <c r="S18" s="44">
        <v>1260000</v>
      </c>
    </row>
    <row r="19" ht="16.5" customHeight="1" spans="1:19" x14ac:dyDescent="0.25">
      <c r="A19" s="25" t="s">
        <v>45</v>
      </c>
      <c r="B19" s="52">
        <v>600000</v>
      </c>
      <c r="C19" s="18" t="s">
        <v>46</v>
      </c>
      <c r="D19" s="18"/>
      <c r="E19" s="18"/>
      <c r="F19" s="19"/>
      <c r="G19" s="3" t="s">
        <v>47</v>
      </c>
      <c r="P19" s="32">
        <v>8</v>
      </c>
      <c r="Q19" s="42">
        <v>14000000</v>
      </c>
      <c r="R19" s="43">
        <v>0.06</v>
      </c>
      <c r="S19" s="44">
        <v>0</v>
      </c>
    </row>
    <row r="20" ht="16.5" customHeight="1" spans="1:19" x14ac:dyDescent="0.25">
      <c r="A20" s="25" t="s">
        <v>48</v>
      </c>
      <c r="B20" s="28">
        <v>2000000</v>
      </c>
      <c r="C20" s="18"/>
      <c r="D20" s="18"/>
      <c r="E20" s="18"/>
      <c r="F20" s="19"/>
      <c r="P20" s="53">
        <f>MATCH(Q22,Q12:Q19,-1)</f>
        <v>8</v>
      </c>
      <c r="Q20" s="54">
        <f>INDEX(R12:R19,P20,1)</f>
        <v>0.06</v>
      </c>
      <c r="R20" s="54">
        <f>INDEX(S12:S19,P20,1)</f>
        <v>0</v>
      </c>
      <c r="S20" s="55"/>
    </row>
    <row r="21" ht="16.5" customHeight="1" spans="1:19" x14ac:dyDescent="0.25">
      <c r="A21" s="25" t="s">
        <v>49</v>
      </c>
      <c r="B21" s="28">
        <v>0</v>
      </c>
      <c r="C21" s="18"/>
      <c r="D21" s="18"/>
      <c r="E21" s="18"/>
      <c r="F21" s="19"/>
      <c r="P21" s="53"/>
      <c r="Q21" s="54"/>
      <c r="R21" s="54"/>
      <c r="S21" s="55"/>
    </row>
    <row r="22" spans="1:19" x14ac:dyDescent="0.25">
      <c r="A22" s="25" t="s">
        <v>50</v>
      </c>
      <c r="B22" s="28">
        <v>0</v>
      </c>
      <c r="C22" s="18" t="s">
        <v>51</v>
      </c>
      <c r="D22" s="18"/>
      <c r="E22" s="18"/>
      <c r="F22" s="19"/>
      <c r="P22" s="56" t="s">
        <v>52</v>
      </c>
      <c r="Q22" s="57">
        <f>B42+B43</f>
        <v>13436000</v>
      </c>
      <c r="R22" s="54"/>
      <c r="S22" s="55"/>
    </row>
    <row r="23" spans="1:19" x14ac:dyDescent="0.25">
      <c r="A23" s="25" t="s">
        <v>50</v>
      </c>
      <c r="B23" s="28">
        <v>3000000</v>
      </c>
      <c r="C23" s="18" t="s">
        <v>53</v>
      </c>
      <c r="D23" s="18"/>
      <c r="E23" s="18"/>
      <c r="F23" s="19"/>
      <c r="P23" s="58"/>
      <c r="Q23" s="59"/>
      <c r="R23" s="59"/>
      <c r="S23" s="60"/>
    </row>
    <row r="24" ht="17.25" customHeight="1" spans="1:19" x14ac:dyDescent="0.25">
      <c r="A24" s="25" t="s">
        <v>54</v>
      </c>
      <c r="B24" s="28">
        <v>0</v>
      </c>
      <c r="C24" s="18"/>
      <c r="D24" s="18"/>
      <c r="E24" s="18"/>
      <c r="F24" s="19"/>
      <c r="P24" s="61"/>
      <c r="Q24" s="62"/>
      <c r="R24" s="62"/>
      <c r="S24" s="63"/>
    </row>
    <row r="25" ht="20.25" customHeight="1" spans="1:19" x14ac:dyDescent="0.25">
      <c r="A25" s="25" t="s">
        <v>55</v>
      </c>
      <c r="B25" s="64">
        <f>IF(B10&gt;85,B7*5%,0)</f>
        <v>0</v>
      </c>
      <c r="C25" s="18"/>
      <c r="D25" s="18"/>
      <c r="E25" s="18"/>
      <c r="F25" s="19"/>
      <c r="G25" s="3" t="s">
        <v>56</v>
      </c>
      <c r="P25" s="11"/>
      <c r="Q25" s="11"/>
      <c r="R25" s="11"/>
      <c r="S25" s="11"/>
    </row>
    <row r="26" spans="1:6" x14ac:dyDescent="0.25">
      <c r="A26" s="25" t="s">
        <v>57</v>
      </c>
      <c r="B26" s="28">
        <v>0</v>
      </c>
      <c r="C26" s="18" t="s">
        <v>58</v>
      </c>
      <c r="D26" s="18"/>
      <c r="E26" s="18"/>
      <c r="F26" s="19"/>
    </row>
    <row r="27" spans="1:7" x14ac:dyDescent="0.25">
      <c r="A27" s="25" t="s">
        <v>59</v>
      </c>
      <c r="B27" s="35">
        <f>B7-B9+B18+B19+B20+B21+B24+B23+B26+B22+B25</f>
        <v>100200000</v>
      </c>
      <c r="C27" s="18"/>
      <c r="D27" s="18"/>
      <c r="E27" s="18"/>
      <c r="F27" s="19"/>
      <c r="G27" s="3" t="s">
        <v>60</v>
      </c>
    </row>
    <row r="28" ht="17.25" customHeight="1" spans="1:7" x14ac:dyDescent="0.25">
      <c r="A28" s="45" t="s">
        <v>61</v>
      </c>
      <c r="B28" s="65">
        <f>B7+B18+B19+B20+B21+B24+B23+B25+B26</f>
        <v>413400000</v>
      </c>
      <c r="C28" s="47"/>
      <c r="D28" s="47"/>
      <c r="E28" s="47"/>
      <c r="F28" s="48"/>
      <c r="G28" s="3" t="s">
        <v>62</v>
      </c>
    </row>
    <row r="29" ht="20.25" customHeight="1" spans="1:6" x14ac:dyDescent="0.25">
      <c r="A29" s="49" t="s">
        <v>63</v>
      </c>
      <c r="B29" s="50"/>
      <c r="C29" s="50"/>
      <c r="D29" s="50"/>
      <c r="E29" s="50"/>
      <c r="F29" s="51"/>
    </row>
    <row r="30" ht="25.5" customHeight="1" spans="1:9" s="11" customFormat="1" x14ac:dyDescent="0.25">
      <c r="A30" s="20" t="s">
        <v>6</v>
      </c>
      <c r="B30" s="21" t="s">
        <v>64</v>
      </c>
      <c r="C30" s="21" t="s">
        <v>7</v>
      </c>
      <c r="D30" s="21"/>
      <c r="E30" s="21"/>
      <c r="F30" s="22"/>
      <c r="G30" s="23"/>
      <c r="H30" s="7"/>
      <c r="I30" s="7"/>
    </row>
    <row r="31" ht="20.25" customHeight="1" spans="1:19" x14ac:dyDescent="0.25">
      <c r="A31" s="25" t="s">
        <v>65</v>
      </c>
      <c r="B31" s="26">
        <v>0</v>
      </c>
      <c r="C31" s="18" t="s">
        <v>66</v>
      </c>
      <c r="D31" s="18"/>
      <c r="E31" s="18"/>
      <c r="F31" s="19"/>
      <c r="G31" s="3" t="s">
        <v>67</v>
      </c>
      <c r="H31" s="24"/>
      <c r="I31" s="24"/>
      <c r="P31" s="11"/>
      <c r="Q31" s="11"/>
      <c r="R31" s="11"/>
      <c r="S31" s="11"/>
    </row>
    <row r="32" spans="1:7" x14ac:dyDescent="0.25">
      <c r="A32" s="25" t="s">
        <v>68</v>
      </c>
      <c r="B32" s="66">
        <f>P8*B13</f>
        <v>5220000</v>
      </c>
      <c r="C32" s="18" t="s">
        <v>69</v>
      </c>
      <c r="D32" s="18"/>
      <c r="E32" s="18"/>
      <c r="F32" s="19"/>
      <c r="G32" s="3" t="s">
        <v>70</v>
      </c>
    </row>
    <row r="33" spans="1:7" x14ac:dyDescent="0.25">
      <c r="A33" s="25" t="s">
        <v>59</v>
      </c>
      <c r="B33" s="66">
        <f>B27+B31+B32</f>
        <v>105420000</v>
      </c>
      <c r="C33" s="18"/>
      <c r="D33" s="18"/>
      <c r="E33" s="18"/>
      <c r="F33" s="19"/>
      <c r="G33" s="3" t="s">
        <v>71</v>
      </c>
    </row>
    <row r="34" ht="17.25" customHeight="1" spans="1:7" x14ac:dyDescent="0.25">
      <c r="A34" s="45" t="s">
        <v>61</v>
      </c>
      <c r="B34" s="65">
        <f>B28+B31+B32</f>
        <v>418620000</v>
      </c>
      <c r="C34" s="47"/>
      <c r="D34" s="47"/>
      <c r="E34" s="47"/>
      <c r="F34" s="48"/>
      <c r="G34" s="23"/>
    </row>
    <row r="35" ht="20.25" customHeight="1" spans="1:7" x14ac:dyDescent="0.25">
      <c r="A35" s="67" t="s">
        <v>72</v>
      </c>
      <c r="B35" s="68"/>
      <c r="C35" s="68"/>
      <c r="D35" s="68"/>
      <c r="E35" s="68"/>
      <c r="F35" s="69"/>
      <c r="G35" s="23"/>
    </row>
    <row r="36" ht="25.5" customHeight="1" spans="1:9" s="11" customFormat="1" x14ac:dyDescent="0.25">
      <c r="A36" s="20" t="s">
        <v>6</v>
      </c>
      <c r="B36" s="21" t="s">
        <v>64</v>
      </c>
      <c r="C36" s="21" t="s">
        <v>7</v>
      </c>
      <c r="D36" s="21"/>
      <c r="E36" s="21"/>
      <c r="F36" s="22"/>
      <c r="G36" s="3"/>
      <c r="H36" s="7"/>
      <c r="I36" s="7"/>
    </row>
    <row r="37" ht="17.25" customHeight="1" spans="1:9" x14ac:dyDescent="0.25">
      <c r="A37" s="25" t="s">
        <v>73</v>
      </c>
      <c r="B37" s="28">
        <v>436500000</v>
      </c>
      <c r="C37" s="18"/>
      <c r="D37" s="18"/>
      <c r="E37" s="18"/>
      <c r="F37" s="19"/>
      <c r="H37" s="24"/>
      <c r="I37" s="24"/>
    </row>
    <row r="38" spans="1:7" x14ac:dyDescent="0.25">
      <c r="A38" s="25" t="s">
        <v>74</v>
      </c>
      <c r="B38" s="35">
        <f>B37*0.4%</f>
        <v>1746000</v>
      </c>
      <c r="C38" s="18" t="s">
        <v>75</v>
      </c>
      <c r="D38" s="18"/>
      <c r="E38" s="18"/>
      <c r="F38" s="19"/>
      <c r="G38" s="3" t="s">
        <v>76</v>
      </c>
    </row>
    <row r="39" ht="17.25" customHeight="1" spans="1:7" x14ac:dyDescent="0.25">
      <c r="A39" s="45" t="s">
        <v>77</v>
      </c>
      <c r="B39" s="65">
        <f>B9*0.8%</f>
      </c>
      <c r="C39" s="47" t="s">
        <v>78</v>
      </c>
      <c r="D39" s="47"/>
      <c r="E39" s="47"/>
      <c r="F39" s="48"/>
      <c r="G39" s="3" t="s">
        <v>79</v>
      </c>
    </row>
    <row r="40" ht="20.25" customHeight="1" spans="1:6" x14ac:dyDescent="0.25">
      <c r="A40" s="67" t="s">
        <v>80</v>
      </c>
      <c r="B40" s="68"/>
      <c r="C40" s="68"/>
      <c r="D40" s="68"/>
      <c r="E40" s="68"/>
      <c r="F40" s="69"/>
    </row>
    <row r="41" ht="25.5" customHeight="1" spans="1:9" s="11" customFormat="1" x14ac:dyDescent="0.25">
      <c r="A41" s="20" t="s">
        <v>6</v>
      </c>
      <c r="B41" s="21" t="s">
        <v>64</v>
      </c>
      <c r="C41" s="21" t="s">
        <v>7</v>
      </c>
      <c r="D41" s="21"/>
      <c r="E41" s="21"/>
      <c r="F41" s="22"/>
      <c r="G41" s="23"/>
      <c r="H41" s="7"/>
      <c r="I41" s="7"/>
    </row>
    <row r="42" ht="17.25" customHeight="1" spans="1:9" x14ac:dyDescent="0.25">
      <c r="A42" s="25" t="s">
        <v>81</v>
      </c>
      <c r="B42" s="35">
        <f>B37-B44-B7-B45</f>
        <v>13436000</v>
      </c>
      <c r="C42" s="18" t="s">
        <v>24</v>
      </c>
      <c r="D42" s="18"/>
      <c r="E42" s="18"/>
      <c r="F42" s="19"/>
      <c r="G42" s="3" t="s">
        <v>82</v>
      </c>
      <c r="H42" s="24"/>
      <c r="I42" s="24"/>
    </row>
    <row r="43" ht="20.25" customHeight="1" spans="1:19" x14ac:dyDescent="0.25">
      <c r="A43" s="25" t="s">
        <v>83</v>
      </c>
      <c r="B43" s="28">
        <v>0</v>
      </c>
      <c r="C43" s="18" t="s">
        <v>84</v>
      </c>
      <c r="D43" s="18"/>
      <c r="E43" s="18"/>
      <c r="F43" s="19"/>
      <c r="G43" s="3" t="s">
        <v>85</v>
      </c>
      <c r="P43" s="11"/>
      <c r="Q43" s="11"/>
      <c r="R43" s="11"/>
      <c r="S43" s="11"/>
    </row>
    <row r="44" ht="20.25" customHeight="1" spans="1:19" x14ac:dyDescent="0.25">
      <c r="A44" s="25" t="s">
        <v>86</v>
      </c>
      <c r="B44" s="35">
        <f>B18+B19+B38+B22</f>
        <v>10146000</v>
      </c>
      <c r="C44" s="18" t="s">
        <v>87</v>
      </c>
      <c r="D44" s="18"/>
      <c r="E44" s="18"/>
      <c r="F44" s="19"/>
      <c r="G44" s="3" t="s">
        <v>88</v>
      </c>
      <c r="P44" s="11"/>
      <c r="Q44" s="11"/>
      <c r="R44" s="11"/>
      <c r="S44" s="11"/>
    </row>
    <row r="45" ht="20.25" customHeight="1" spans="1:19" x14ac:dyDescent="0.25">
      <c r="A45" s="25" t="s">
        <v>89</v>
      </c>
      <c r="B45" s="35">
        <f>B21+B23+B24+B32+B26+B31+B39</f>
        <v>12918000</v>
      </c>
      <c r="C45" s="18" t="s">
        <v>87</v>
      </c>
      <c r="D45" s="18"/>
      <c r="E45" s="18"/>
      <c r="F45" s="19"/>
      <c r="G45" s="3" t="s">
        <v>90</v>
      </c>
      <c r="P45" s="11"/>
      <c r="Q45" s="11"/>
      <c r="R45" s="11"/>
      <c r="S45" s="11"/>
    </row>
    <row r="46" spans="1:7" x14ac:dyDescent="0.25">
      <c r="A46" s="70" t="s">
        <v>91</v>
      </c>
      <c r="B46" s="71">
        <f>B25+B20</f>
        <v>2000000</v>
      </c>
      <c r="C46" s="18" t="s">
        <v>92</v>
      </c>
      <c r="D46" s="18"/>
      <c r="E46" s="18"/>
      <c r="F46" s="19"/>
      <c r="G46" s="3" t="s">
        <v>93</v>
      </c>
    </row>
    <row r="47" ht="17.25" customHeight="1" spans="1:7" x14ac:dyDescent="0.25">
      <c r="A47" s="45" t="s">
        <v>94</v>
      </c>
      <c r="B47" s="65">
        <f>((Q22)*Q20-R20)*1.1</f>
      </c>
      <c r="C47" s="47" t="s">
        <v>95</v>
      </c>
      <c r="D47" s="47"/>
      <c r="E47" s="47"/>
      <c r="F47" s="48"/>
      <c r="G47" s="3" t="s">
        <v>96</v>
      </c>
    </row>
    <row r="48" ht="20.25" customHeight="1" spans="1:6" x14ac:dyDescent="0.25">
      <c r="A48" s="67" t="s">
        <v>97</v>
      </c>
      <c r="B48" s="68"/>
      <c r="C48" s="68"/>
      <c r="D48" s="68"/>
      <c r="E48" s="68"/>
      <c r="F48" s="69"/>
    </row>
    <row r="49" ht="25.5" customHeight="1" spans="1:9" s="11" customFormat="1" x14ac:dyDescent="0.25">
      <c r="A49" s="72" t="s">
        <v>61</v>
      </c>
      <c r="B49" s="73">
        <f>B7+B22+B18+B19+B20+B21+B23+B24+B26+B31+B32+B38+B39+B25</f>
        <v>425064000</v>
      </c>
      <c r="C49" s="74" t="s">
        <v>98</v>
      </c>
      <c r="D49" s="75"/>
      <c r="E49" s="76">
        <f>B33+B38+B39</f>
        <v>111864000</v>
      </c>
      <c r="F49" s="77"/>
      <c r="G49" s="23"/>
      <c r="H49" s="7"/>
      <c r="I49" s="7"/>
    </row>
    <row r="50" ht="21" customHeight="1" spans="1:9" s="11" customFormat="1" x14ac:dyDescent="0.25">
      <c r="A50" s="78" t="s">
        <v>97</v>
      </c>
      <c r="B50" s="79">
        <f>B42-B46-B47</f>
        <v>10629840</v>
      </c>
      <c r="C50" s="80" t="s">
        <v>99</v>
      </c>
      <c r="D50" s="81">
        <f>B50/E49</f>
        <v>0.09502467281699206</v>
      </c>
      <c r="E50" s="82"/>
      <c r="F50" s="83"/>
      <c r="G50" s="23"/>
      <c r="H50" s="84"/>
      <c r="I50" s="84"/>
    </row>
    <row r="51" ht="35.25" customHeight="1" spans="7:9" x14ac:dyDescent="0.25">
      <c r="G51" s="85"/>
      <c r="H51" s="86"/>
      <c r="I51" s="86"/>
    </row>
    <row r="52" spans="1:6" x14ac:dyDescent="0.25">
      <c r="A52" s="49" t="s">
        <v>100</v>
      </c>
      <c r="B52" s="49"/>
      <c r="C52" s="49"/>
      <c r="D52" s="49"/>
      <c r="E52" s="49"/>
      <c r="F52" s="49"/>
    </row>
    <row r="53" spans="1:6" x14ac:dyDescent="0.25">
      <c r="A53" s="20" t="s">
        <v>6</v>
      </c>
      <c r="B53" s="20" t="s">
        <v>101</v>
      </c>
      <c r="C53" s="20" t="s">
        <v>7</v>
      </c>
      <c r="D53" s="20"/>
      <c r="E53" s="20"/>
      <c r="F53" s="20"/>
    </row>
    <row r="54" spans="1:7" x14ac:dyDescent="0.25">
      <c r="A54" s="25" t="s">
        <v>102</v>
      </c>
      <c r="B54" s="28" t="s">
        <v>103</v>
      </c>
      <c r="C54" s="18" t="s">
        <v>104</v>
      </c>
      <c r="D54" s="18"/>
      <c r="E54" s="18"/>
      <c r="F54" s="18"/>
      <c r="G54" s="18" t="s">
        <v>105</v>
      </c>
    </row>
    <row r="55" spans="1:7" x14ac:dyDescent="0.25">
      <c r="A55" s="25" t="s">
        <v>106</v>
      </c>
      <c r="B55" s="28">
        <v>48000000</v>
      </c>
      <c r="C55" s="18" t="s">
        <v>107</v>
      </c>
      <c r="D55" s="18"/>
      <c r="E55" s="18"/>
      <c r="F55" s="18"/>
      <c r="G55" s="18" t="s">
        <v>108</v>
      </c>
    </row>
    <row r="56" spans="1:6" x14ac:dyDescent="0.25">
      <c r="A56" s="25" t="s">
        <v>109</v>
      </c>
      <c r="B56" s="28">
        <f>P2</f>
      </c>
      <c r="C56" s="18" t="s">
        <v>110</v>
      </c>
      <c r="D56" s="18"/>
      <c r="E56" s="18"/>
      <c r="F56" s="18"/>
    </row>
    <row r="57" spans="1:6" x14ac:dyDescent="0.25">
      <c r="A57" s="25" t="s">
        <v>111</v>
      </c>
      <c r="B57" s="28">
        <f>P3</f>
      </c>
      <c r="C57" s="18" t="s">
        <v>112</v>
      </c>
      <c r="D57" s="18"/>
      <c r="E57" s="18"/>
      <c r="F57" s="18"/>
    </row>
    <row r="58" spans="1:6" x14ac:dyDescent="0.25">
      <c r="A58" s="25" t="s">
        <v>113</v>
      </c>
      <c r="B58" s="28">
        <f>MAX(IF(P2&lt;P3,P2,P3),0)</f>
      </c>
      <c r="C58" s="18" t="s">
        <v>114</v>
      </c>
      <c r="D58" s="18"/>
      <c r="E58" s="18"/>
      <c r="F58" s="18"/>
    </row>
    <row r="60" spans="1:6" x14ac:dyDescent="0.25">
      <c r="A60" s="49" t="s">
        <v>115</v>
      </c>
      <c r="B60" s="49"/>
      <c r="C60" s="49"/>
      <c r="D60" s="49"/>
      <c r="E60" s="49"/>
      <c r="F60" s="49"/>
    </row>
    <row r="61" spans="1:6" x14ac:dyDescent="0.25">
      <c r="A61" s="20" t="s">
        <v>116</v>
      </c>
      <c r="B61" s="20" t="s">
        <v>117</v>
      </c>
      <c r="C61" s="20"/>
      <c r="D61" s="20"/>
      <c r="E61" s="20"/>
      <c r="F61" s="20"/>
    </row>
    <row r="62" spans="1:6" x14ac:dyDescent="0.25">
      <c r="A62" s="25" t="s">
        <v>118</v>
      </c>
      <c r="B62" s="18" t="s">
        <v>119</v>
      </c>
      <c r="C62" s="18"/>
      <c r="D62" s="18"/>
      <c r="E62" s="18"/>
      <c r="F62" s="18"/>
    </row>
    <row r="63" spans="1:6" x14ac:dyDescent="0.25">
      <c r="A63" s="25" t="s">
        <v>120</v>
      </c>
      <c r="B63" s="18" t="s">
        <v>121</v>
      </c>
      <c r="C63" s="18"/>
      <c r="D63" s="18"/>
      <c r="E63" s="18"/>
      <c r="F63" s="18"/>
    </row>
    <row r="64" spans="1:6" x14ac:dyDescent="0.25">
      <c r="A64" s="25" t="s">
        <v>122</v>
      </c>
      <c r="B64" s="18" t="s">
        <v>123</v>
      </c>
      <c r="C64" s="18"/>
      <c r="D64" s="18"/>
      <c r="E64" s="18"/>
      <c r="F64" s="18"/>
    </row>
  </sheetData>
  <mergeCells count="72">
    <mergeCell ref="A1:F1"/>
    <mergeCell ref="P1:S1"/>
    <mergeCell ref="A2:F2"/>
    <mergeCell ref="Q2:S3"/>
    <mergeCell ref="A3:B3"/>
    <mergeCell ref="C3:F3"/>
    <mergeCell ref="C4:F4"/>
    <mergeCell ref="Q4:S5"/>
    <mergeCell ref="C5:F5"/>
    <mergeCell ref="D6:F6"/>
    <mergeCell ref="Q6:S6"/>
    <mergeCell ref="D7:F7"/>
    <mergeCell ref="Q7:S7"/>
    <mergeCell ref="C8:F8"/>
    <mergeCell ref="Q8:S8"/>
    <mergeCell ref="C9:F9"/>
    <mergeCell ref="Q9:S9"/>
    <mergeCell ref="C10:F10"/>
    <mergeCell ref="Q10:S10"/>
    <mergeCell ref="C11:F11"/>
    <mergeCell ref="C12:F12"/>
    <mergeCell ref="C13:F13"/>
    <mergeCell ref="A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A29:F29"/>
    <mergeCell ref="C30:F30"/>
    <mergeCell ref="C31:F31"/>
    <mergeCell ref="C32:F32"/>
    <mergeCell ref="C33:F33"/>
    <mergeCell ref="C34:F34"/>
    <mergeCell ref="A35:F35"/>
    <mergeCell ref="C36:F36"/>
    <mergeCell ref="C37:F37"/>
    <mergeCell ref="C38:F38"/>
    <mergeCell ref="C39:F39"/>
    <mergeCell ref="A40:F40"/>
    <mergeCell ref="C41:F41"/>
    <mergeCell ref="C42:F42"/>
    <mergeCell ref="C43:F43"/>
    <mergeCell ref="C44:F44"/>
    <mergeCell ref="C45:F45"/>
    <mergeCell ref="C46:F46"/>
    <mergeCell ref="C47:F47"/>
    <mergeCell ref="A48:F48"/>
    <mergeCell ref="C49:D49"/>
    <mergeCell ref="E49:F49"/>
    <mergeCell ref="D50:F50"/>
    <mergeCell ref="A52:F52"/>
    <mergeCell ref="C53:F53"/>
    <mergeCell ref="C54:F54"/>
    <mergeCell ref="C55:F55"/>
    <mergeCell ref="C56:F56"/>
    <mergeCell ref="C57:F57"/>
    <mergeCell ref="C58:F58"/>
    <mergeCell ref="A60:F60"/>
    <mergeCell ref="B61:F61"/>
    <mergeCell ref="B62:F62"/>
    <mergeCell ref="B63:F63"/>
    <mergeCell ref="B64:F64"/>
  </mergeCells>
  <conditionalFormatting sqref="B10">
    <cfRule type="expression" dxfId="0" priority="2">
      <formula>$B$10&gt;85</formula>
    </cfRule>
    <cfRule type="expression" dxfId="1" priority="3">
      <formula>"&lt;85"</formula>
    </cfRule>
  </conditionalFormatting>
  <conditionalFormatting sqref="B25">
    <cfRule type="expression" dxfId="2" priority="1">
      <formula>$B$10&gt;85</formula>
    </cfRule>
  </conditionalFormatting>
  <pageMargins left="0.7" right="0.7" top="0.75" bottom="0.75" header="0.3" footer="0.3"/>
  <pageSetup paperSize="9" orientation="portrait" horizontalDpi="4294967295" verticalDpi="4294967295" scale="76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 zoomScale="100" zoomScaleNormal="100" view="pageBreakPreview">
      <selection activeCell="B4" sqref="B4"/>
    </sheetView>
  </sheetViews>
  <sheetFormatPr defaultRowHeight="16.5" outlineLevelRow="0" outlineLevelCol="0" x14ac:dyDescent="0.3" customHeight="1"/>
  <cols>
    <col min="1" max="1" width="5" customWidth="1"/>
    <col min="2" max="2" width="12.125" customWidth="1"/>
    <col min="3" max="3" width="22.875" customWidth="1"/>
    <col min="4" max="4" width="30.75" customWidth="1"/>
  </cols>
  <sheetData>
    <row r="1" ht="21" customHeight="1" spans="1:4" x14ac:dyDescent="0.25">
      <c r="A1" s="4" t="s">
        <v>124</v>
      </c>
      <c r="B1" s="5"/>
      <c r="C1" s="5"/>
      <c r="D1" s="87"/>
    </row>
    <row r="2" spans="1:4" x14ac:dyDescent="0.25">
      <c r="A2" s="88" t="s">
        <v>125</v>
      </c>
      <c r="B2" s="88"/>
      <c r="C2" s="88"/>
      <c r="D2" s="89"/>
    </row>
    <row r="3" spans="1:4" x14ac:dyDescent="0.25">
      <c r="A3" s="90" t="s">
        <v>126</v>
      </c>
      <c r="B3" s="91" t="s">
        <v>127</v>
      </c>
      <c r="C3" s="91" t="s">
        <v>64</v>
      </c>
      <c r="D3" s="92" t="s">
        <v>128</v>
      </c>
    </row>
    <row r="4" spans="1:4" x14ac:dyDescent="0.25">
      <c r="A4" s="93">
        <v>1</v>
      </c>
      <c r="B4" s="18"/>
      <c r="C4" s="18"/>
      <c r="D4" s="19"/>
    </row>
    <row r="5" spans="1:4" x14ac:dyDescent="0.25">
      <c r="A5" s="93">
        <v>2</v>
      </c>
      <c r="B5" s="18"/>
      <c r="C5" s="18"/>
      <c r="D5" s="19"/>
    </row>
    <row r="6" spans="1:4" x14ac:dyDescent="0.25">
      <c r="A6" s="93">
        <v>3</v>
      </c>
      <c r="B6" s="18"/>
      <c r="C6" s="18"/>
      <c r="D6" s="19"/>
    </row>
    <row r="7" spans="1:4" x14ac:dyDescent="0.25">
      <c r="A7" s="93">
        <v>4</v>
      </c>
      <c r="B7" s="18"/>
      <c r="C7" s="18"/>
      <c r="D7" s="19"/>
    </row>
    <row r="8" spans="1:4" x14ac:dyDescent="0.25">
      <c r="A8" s="93">
        <v>5</v>
      </c>
      <c r="B8" s="18"/>
      <c r="C8" s="18"/>
      <c r="D8" s="19"/>
    </row>
    <row r="9" spans="1:4" x14ac:dyDescent="0.25">
      <c r="A9" s="93">
        <v>6</v>
      </c>
      <c r="B9" s="18"/>
      <c r="C9" s="18"/>
      <c r="D9" s="19"/>
    </row>
    <row r="10" spans="1:4" x14ac:dyDescent="0.25">
      <c r="A10" s="93">
        <v>7</v>
      </c>
      <c r="B10" s="18"/>
      <c r="C10" s="18"/>
      <c r="D10" s="19"/>
    </row>
    <row r="11" spans="1:4" x14ac:dyDescent="0.25">
      <c r="A11" s="93">
        <v>8</v>
      </c>
      <c r="B11" s="18"/>
      <c r="C11" s="18"/>
      <c r="D11" s="19"/>
    </row>
    <row r="12" spans="1:4" x14ac:dyDescent="0.25">
      <c r="A12" s="93">
        <v>9</v>
      </c>
      <c r="B12" s="18"/>
      <c r="C12" s="18"/>
      <c r="D12" s="19"/>
    </row>
    <row r="13" spans="1:4" x14ac:dyDescent="0.25">
      <c r="A13" s="93">
        <v>10</v>
      </c>
      <c r="B13" s="18"/>
      <c r="C13" s="18"/>
      <c r="D13" s="19"/>
    </row>
    <row r="14" spans="1:4" x14ac:dyDescent="0.25">
      <c r="A14" s="93">
        <v>11</v>
      </c>
      <c r="B14" s="18"/>
      <c r="C14" s="18"/>
      <c r="D14" s="19"/>
    </row>
    <row r="15" spans="1:4" x14ac:dyDescent="0.25">
      <c r="A15" s="93">
        <v>12</v>
      </c>
      <c r="B15" s="18"/>
      <c r="C15" s="18"/>
      <c r="D15" s="19"/>
    </row>
    <row r="16" spans="1:4" x14ac:dyDescent="0.25">
      <c r="A16" s="93">
        <v>13</v>
      </c>
      <c r="B16" s="18"/>
      <c r="C16" s="18"/>
      <c r="D16" s="19"/>
    </row>
    <row r="17" spans="1:4" x14ac:dyDescent="0.25">
      <c r="A17" s="93">
        <v>14</v>
      </c>
      <c r="B17" s="18"/>
      <c r="C17" s="18"/>
      <c r="D17" s="19"/>
    </row>
    <row r="18" spans="1:4" x14ac:dyDescent="0.25">
      <c r="A18" s="93">
        <v>15</v>
      </c>
      <c r="B18" s="18"/>
      <c r="C18" s="18"/>
      <c r="D18" s="19"/>
    </row>
    <row r="19" spans="1:4" x14ac:dyDescent="0.25">
      <c r="A19" s="93">
        <v>16</v>
      </c>
      <c r="B19" s="18"/>
      <c r="C19" s="18"/>
      <c r="D19" s="19"/>
    </row>
    <row r="20" spans="1:4" x14ac:dyDescent="0.25">
      <c r="A20" s="93">
        <v>17</v>
      </c>
      <c r="B20" s="18"/>
      <c r="C20" s="18"/>
      <c r="D20" s="19"/>
    </row>
    <row r="21" spans="1:4" x14ac:dyDescent="0.25">
      <c r="A21" s="93">
        <v>18</v>
      </c>
      <c r="B21" s="18"/>
      <c r="C21" s="18"/>
      <c r="D21" s="19"/>
    </row>
    <row r="22" spans="1:4" x14ac:dyDescent="0.25">
      <c r="A22" s="93">
        <v>19</v>
      </c>
      <c r="B22" s="18"/>
      <c r="C22" s="18"/>
      <c r="D22" s="19"/>
    </row>
    <row r="23" spans="1:4" x14ac:dyDescent="0.25">
      <c r="A23" s="93">
        <v>20</v>
      </c>
      <c r="B23" s="18"/>
      <c r="C23" s="18"/>
      <c r="D23" s="19"/>
    </row>
    <row r="24" spans="1:4" x14ac:dyDescent="0.25">
      <c r="A24" s="93">
        <v>21</v>
      </c>
      <c r="B24" s="18"/>
      <c r="C24" s="18"/>
      <c r="D24" s="19"/>
    </row>
    <row r="25" spans="1:4" x14ac:dyDescent="0.25">
      <c r="A25" s="93">
        <v>22</v>
      </c>
      <c r="B25" s="18"/>
      <c r="C25" s="18"/>
      <c r="D25" s="19"/>
    </row>
    <row r="26" spans="1:4" x14ac:dyDescent="0.25">
      <c r="A26" s="93">
        <v>23</v>
      </c>
      <c r="B26" s="18"/>
      <c r="C26" s="18"/>
      <c r="D26" s="19"/>
    </row>
    <row r="27" spans="1:4" x14ac:dyDescent="0.25">
      <c r="A27" s="93">
        <v>24</v>
      </c>
      <c r="B27" s="18"/>
      <c r="C27" s="18"/>
      <c r="D27" s="19"/>
    </row>
    <row r="28" spans="1:4" x14ac:dyDescent="0.25">
      <c r="A28" s="93">
        <v>25</v>
      </c>
      <c r="B28" s="18"/>
      <c r="C28" s="18"/>
      <c r="D28" s="19"/>
    </row>
    <row r="29" spans="1:4" x14ac:dyDescent="0.25">
      <c r="A29" s="93">
        <v>26</v>
      </c>
      <c r="B29" s="18"/>
      <c r="C29" s="18"/>
      <c r="D29" s="19"/>
    </row>
    <row r="30" spans="1:4" x14ac:dyDescent="0.25">
      <c r="A30" s="93">
        <v>27</v>
      </c>
      <c r="B30" s="18"/>
      <c r="C30" s="18"/>
      <c r="D30" s="19"/>
    </row>
    <row r="31" spans="1:4" x14ac:dyDescent="0.25">
      <c r="A31" s="93">
        <v>28</v>
      </c>
      <c r="B31" s="18"/>
      <c r="C31" s="18"/>
      <c r="D31" s="19"/>
    </row>
    <row r="32" spans="1:4" x14ac:dyDescent="0.25">
      <c r="A32" s="93">
        <v>29</v>
      </c>
      <c r="B32" s="18"/>
      <c r="C32" s="18"/>
      <c r="D32" s="19"/>
    </row>
    <row r="33" spans="1:4" x14ac:dyDescent="0.25">
      <c r="A33" s="93">
        <v>30</v>
      </c>
      <c r="B33" s="18"/>
      <c r="C33" s="18"/>
      <c r="D33" s="19"/>
    </row>
    <row r="34" spans="1:4" x14ac:dyDescent="0.25">
      <c r="A34" s="93">
        <v>31</v>
      </c>
      <c r="B34" s="18"/>
      <c r="C34" s="18"/>
      <c r="D34" s="19"/>
    </row>
    <row r="35" spans="1:4" x14ac:dyDescent="0.25">
      <c r="A35" s="93">
        <v>32</v>
      </c>
      <c r="B35" s="18"/>
      <c r="C35" s="18"/>
      <c r="D35" s="19"/>
    </row>
    <row r="36" spans="1:4" x14ac:dyDescent="0.25">
      <c r="A36" s="93">
        <v>33</v>
      </c>
      <c r="B36" s="18"/>
      <c r="C36" s="18"/>
      <c r="D36" s="19"/>
    </row>
    <row r="37" spans="1:4" x14ac:dyDescent="0.25">
      <c r="A37" s="93">
        <v>34</v>
      </c>
      <c r="B37" s="18"/>
      <c r="C37" s="18"/>
      <c r="D37" s="19"/>
    </row>
    <row r="38" spans="1:4" x14ac:dyDescent="0.25">
      <c r="A38" s="93">
        <v>35</v>
      </c>
      <c r="B38" s="18"/>
      <c r="C38" s="18"/>
      <c r="D38" s="19"/>
    </row>
    <row r="39" spans="1:4" x14ac:dyDescent="0.25">
      <c r="A39" s="93">
        <v>36</v>
      </c>
      <c r="B39" s="18"/>
      <c r="C39" s="18"/>
      <c r="D39" s="19"/>
    </row>
    <row r="40" spans="1:4" x14ac:dyDescent="0.25">
      <c r="A40" s="93">
        <v>37</v>
      </c>
      <c r="B40" s="18"/>
      <c r="C40" s="18"/>
      <c r="D40" s="19"/>
    </row>
    <row r="41" spans="1:4" x14ac:dyDescent="0.25">
      <c r="A41" s="93">
        <v>38</v>
      </c>
      <c r="B41" s="18"/>
      <c r="C41" s="18"/>
      <c r="D41" s="19"/>
    </row>
    <row r="42" spans="1:4" x14ac:dyDescent="0.25">
      <c r="A42" s="94">
        <v>39</v>
      </c>
      <c r="B42" s="18"/>
      <c r="C42" s="18"/>
      <c r="D42" s="19"/>
    </row>
    <row r="43" ht="17.25" customHeight="1" spans="1:4" x14ac:dyDescent="0.25">
      <c r="A43" s="95" t="s">
        <v>129</v>
      </c>
      <c r="B43" s="47"/>
      <c r="C43" s="47">
        <f>SUM(C4:C42)</f>
        <v>0</v>
      </c>
      <c r="D43" s="48"/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매매사업자 단타용 수익률 계산기</vt:lpstr>
      <vt:lpstr>지출관리대장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 Gonzales</cp:lastModifiedBy>
  <dcterms:created xsi:type="dcterms:W3CDTF">2023-08-31T10:19:54Z</dcterms:created>
  <dcterms:modified xsi:type="dcterms:W3CDTF">2023-12-28T06:06:36Z</dcterms:modified>
</cp:coreProperties>
</file>